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Notes" sheetId="1" r:id="rId1"/>
    <sheet name="Calculator" sheetId="2" r:id="rId2"/>
    <sheet name="Outside walls" sheetId="3" r:id="rId3"/>
    <sheet name="Stronghold Description &amp; Spaces" sheetId="4" r:id="rId4"/>
  </sheets>
  <calcPr calcId="124519"/>
</workbook>
</file>

<file path=xl/calcChain.xml><?xml version="1.0" encoding="utf-8"?>
<calcChain xmlns="http://schemas.openxmlformats.org/spreadsheetml/2006/main">
  <c r="F58" i="2"/>
  <c r="D25" l="1"/>
  <c r="D27" l="1"/>
  <c r="E22"/>
  <c r="C22"/>
  <c r="D52"/>
  <c r="D51" l="1"/>
  <c r="F47"/>
  <c r="F44"/>
  <c r="F42"/>
  <c r="F39"/>
  <c r="F38"/>
  <c r="F37"/>
  <c r="F36"/>
  <c r="F35"/>
  <c r="C41"/>
  <c r="F41" s="1"/>
  <c r="C43"/>
  <c r="F43" s="1"/>
  <c r="D50"/>
  <c r="C48"/>
  <c r="F48" s="1"/>
  <c r="F52" s="1"/>
  <c r="C45"/>
  <c r="F45" s="1"/>
  <c r="C46"/>
  <c r="F46" s="1"/>
  <c r="C34"/>
  <c r="F34" s="1"/>
  <c r="C47"/>
  <c r="C44"/>
  <c r="C42"/>
  <c r="C40"/>
  <c r="F40" s="1"/>
  <c r="C39"/>
  <c r="C38"/>
  <c r="C37"/>
  <c r="C36"/>
  <c r="C10"/>
  <c r="E10" s="1"/>
  <c r="C35"/>
  <c r="F51" l="1"/>
  <c r="F50"/>
  <c r="E25"/>
  <c r="B5" i="3"/>
  <c r="E5" s="1"/>
  <c r="C12" i="2"/>
  <c r="E12" s="1"/>
  <c r="F54" l="1"/>
  <c r="B9" i="3"/>
  <c r="B6"/>
  <c r="B4"/>
  <c r="C11" i="2"/>
  <c r="E11" s="1"/>
  <c r="C23"/>
  <c r="E23" s="1"/>
  <c r="D4"/>
  <c r="D3"/>
  <c r="C21"/>
  <c r="E21" s="1"/>
  <c r="C20"/>
  <c r="E20" s="1"/>
  <c r="C19"/>
  <c r="C18"/>
  <c r="E18" s="1"/>
  <c r="C17"/>
  <c r="C16"/>
  <c r="E16" s="1"/>
  <c r="C15"/>
  <c r="E15" s="1"/>
  <c r="C14"/>
  <c r="E14" s="1"/>
  <c r="C13"/>
  <c r="E13" s="1"/>
  <c r="C9"/>
  <c r="E9" s="1"/>
  <c r="E19" l="1"/>
  <c r="E17"/>
  <c r="E29" l="1"/>
  <c r="E31" s="1"/>
  <c r="B1"/>
  <c r="D1" s="1"/>
  <c r="E27"/>
</calcChain>
</file>

<file path=xl/comments1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sans courtyards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Space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Upgrade to pools later</t>
        </r>
      </text>
    </comment>
  </commentList>
</comments>
</file>

<file path=xl/sharedStrings.xml><?xml version="1.0" encoding="utf-8"?>
<sst xmlns="http://schemas.openxmlformats.org/spreadsheetml/2006/main" count="167" uniqueCount="109">
  <si>
    <t>Site Modifiers:  SBG adds fixed % to all costs to reflect real estate costs; it is 10% for "within 1mi of metropolis"</t>
  </si>
  <si>
    <t>Common Quarter (market square is [was] here):  +10%</t>
  </si>
  <si>
    <t>Around City Hall:  +10%</t>
  </si>
  <si>
    <t>Western Farms, and edge of Haven Forest down to Lighthouse:  +7%</t>
  </si>
  <si>
    <t>Temple District (east side is by theater and mostly merchants, west side across from Guilty Bard and West Docks):  +15%</t>
  </si>
  <si>
    <t>Merchant Quarter:  +20%</t>
  </si>
  <si>
    <t>West Rim</t>
  </si>
  <si>
    <t>East Rim</t>
  </si>
  <si>
    <t>Eastern Lands of Rawlin Estate (across from capital or temple district, or near the Scarlet Goose):  +0%, based on connections</t>
  </si>
  <si>
    <t>Temple District (by capital, bank, Mucky Duck, or Zoo):  +10%</t>
  </si>
  <si>
    <t>Commons (across from Mucky Duck and Merchant Quarter):  +10%</t>
  </si>
  <si>
    <t>Merchant Quarter:  +15%</t>
  </si>
  <si>
    <t>Stronghold Spaces:</t>
  </si>
  <si>
    <t>% Exterior Walls:</t>
  </si>
  <si>
    <t>Exterior Wall Type:</t>
  </si>
  <si>
    <t>Interior Wall Type:</t>
  </si>
  <si>
    <t>Room</t>
  </si>
  <si>
    <t>B/F/L</t>
  </si>
  <si>
    <t>Base $</t>
  </si>
  <si>
    <t>Bedrooms</t>
  </si>
  <si>
    <t>Basic</t>
  </si>
  <si>
    <t>Luxury</t>
  </si>
  <si>
    <t>Fancy</t>
  </si>
  <si>
    <t>Bed Suite</t>
  </si>
  <si>
    <t>Dining Hall</t>
  </si>
  <si>
    <t>Kitchen</t>
  </si>
  <si>
    <t># Spaces</t>
  </si>
  <si>
    <t>Total $</t>
  </si>
  <si>
    <t>Study/Office</t>
  </si>
  <si>
    <t>Tavern</t>
  </si>
  <si>
    <t>Training Area (Rogue)</t>
  </si>
  <si>
    <t>Auditorium</t>
  </si>
  <si>
    <t>Notes</t>
  </si>
  <si>
    <t>The main area of a strip club, with stages, etc</t>
  </si>
  <si>
    <t>Can support tavern (for food orders from bar)</t>
  </si>
  <si>
    <t>Common Area</t>
  </si>
  <si>
    <t>For example, an entryway w/bouncer?</t>
  </si>
  <si>
    <t>Courtyard</t>
  </si>
  <si>
    <t>A pair per stronghold space except for luxury, which is 1/space</t>
  </si>
  <si>
    <t>Cost =</t>
  </si>
  <si>
    <t>Wood</t>
  </si>
  <si>
    <t>Wall Cost:</t>
  </si>
  <si>
    <t>Base Total:</t>
  </si>
  <si>
    <t>GRAND TOTAL:</t>
  </si>
  <si>
    <t>Cost Modifier:</t>
  </si>
  <si>
    <t>Storage</t>
  </si>
  <si>
    <t>Sqft =</t>
  </si>
  <si>
    <t>One per stronghold space except for luxury, which is 1/2space</t>
  </si>
  <si>
    <t>Width</t>
  </si>
  <si>
    <t>Length</t>
  </si>
  <si>
    <t>Perimeter</t>
  </si>
  <si>
    <t>Sections</t>
  </si>
  <si>
    <t>Cost/Sec</t>
  </si>
  <si>
    <t>Total</t>
  </si>
  <si>
    <t>Bath - Tubs</t>
  </si>
  <si>
    <t>Bath - Pools</t>
  </si>
  <si>
    <t>Tubs and fireplaces to warm water to put in them</t>
  </si>
  <si>
    <t>Permanent "swimming pools" that are heated by other means (magic, pipes, etc)</t>
  </si>
  <si>
    <t>Superior Masonry</t>
  </si>
  <si>
    <t>Area</t>
  </si>
  <si>
    <t>Description</t>
  </si>
  <si>
    <t>Spaces</t>
  </si>
  <si>
    <t>Entryway</t>
  </si>
  <si>
    <t>Equiv SS</t>
  </si>
  <si>
    <t>Guests enter, pay fees, or get hooked up with appropriate escorts; bouncers</t>
  </si>
  <si>
    <t>1 fancy common area</t>
  </si>
  <si>
    <t>Small Dome</t>
  </si>
  <si>
    <t>Tavern area surrounded by various stages and performance areas (hanging cages and the like), interleaved with steamy, in-ground pools; ceiling of dome is covered with undulating illusions of various types
Can serve 40 people in this area
Requires:  1 fancy kitchen to serve food for up to 30/40
7ss and 60' in diameter</t>
  </si>
  <si>
    <t>2 luxury tavern
2 luxury bath pools
3 luxury auditoriums
2 castings permanent image</t>
  </si>
  <si>
    <t>Permanent Image</t>
  </si>
  <si>
    <t>Above Ground</t>
  </si>
  <si>
    <t>Below Ground (extra +10% cost, but no wall charge at all -- all hewn stone)</t>
  </si>
  <si>
    <t>Barracks</t>
  </si>
  <si>
    <t>Holds 10 people in bunkbeds w/footlockers</t>
  </si>
  <si>
    <t>Assuming 2/room, then 4 people/ss</t>
  </si>
  <si>
    <t>Training Area (Combat)</t>
  </si>
  <si>
    <t>Prison Complex</t>
  </si>
  <si>
    <r>
      <t xml:space="preserve">Just used the cluster for this:  </t>
    </r>
    <r>
      <rPr>
        <b/>
        <sz val="11"/>
        <color rgb="FFFF0000"/>
        <rFont val="Calibri"/>
        <family val="2"/>
        <scheme val="minor"/>
      </rPr>
      <t>13ss</t>
    </r>
  </si>
  <si>
    <t>Main part of followers</t>
  </si>
  <si>
    <t>Follower Lieutenants</t>
  </si>
  <si>
    <t>Support 210 total</t>
  </si>
  <si>
    <t>Cora's Room?</t>
  </si>
  <si>
    <t>For Cora &amp; top lieutenants</t>
  </si>
  <si>
    <t>15 people served per ss, can do two shifts</t>
  </si>
  <si>
    <t>Support 210 total, in shifts</t>
  </si>
  <si>
    <t>Meals for 15 per stronghold space, can do shifts</t>
  </si>
  <si>
    <t>B1</t>
  </si>
  <si>
    <t>Selection Notes (top lieutenants could also be guild mates or guests)</t>
  </si>
  <si>
    <t>For guests and top lieutenants, up to 8</t>
  </si>
  <si>
    <t>B1:</t>
  </si>
  <si>
    <t>B2:</t>
  </si>
  <si>
    <t>Aboveground Total:</t>
  </si>
  <si>
    <t>Subterranean Total:</t>
  </si>
  <si>
    <t>For Cora &amp; friends</t>
  </si>
  <si>
    <t>B2</t>
  </si>
  <si>
    <t>B3:</t>
  </si>
  <si>
    <t>Lv11 caster, 19x "10-foot-cubes"; figure 100sqft/cube</t>
  </si>
  <si>
    <t>Loosely interpret as whore-training room / dressing room</t>
  </si>
  <si>
    <t>This is probably far more appropriate for Cora's purposes than dining hall; Fancy or luxury versions can order food from kitchen; 20 clients/ss for luxury</t>
  </si>
  <si>
    <t>SBG has a basic bath (0.5ss) for 30 people</t>
  </si>
  <si>
    <t>Support 210 total, in shifts; did 8ss instead of 7ss for mapping</t>
  </si>
  <si>
    <t>HARDCODED based on eventual plans</t>
  </si>
  <si>
    <t>Hardcoded, based on Cora's location choice</t>
  </si>
  <si>
    <t>Fountain</t>
  </si>
  <si>
    <t>NOT PURCHASED YET</t>
  </si>
  <si>
    <t>Includes compound surrounding wall</t>
  </si>
  <si>
    <t>Outdoor courtyard (landscaping)</t>
  </si>
  <si>
    <t>Misc Costs:</t>
  </si>
  <si>
    <t>Use for adjustments; the grand total represents how many stronghold funds Cora has used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</si>
</sst>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/>
    <xf numFmtId="0" fontId="6" fillId="0" borderId="0" xfId="0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/>
    <xf numFmtId="0" fontId="5" fillId="2" borderId="0" xfId="0" applyFont="1" applyFill="1"/>
    <xf numFmtId="0" fontId="9" fillId="0" borderId="0" xfId="0" applyFont="1" applyFill="1"/>
    <xf numFmtId="0" fontId="5" fillId="3" borderId="0" xfId="0" applyFont="1" applyFill="1"/>
  </cellXfs>
  <cellStyles count="1">
    <cellStyle name="Normal" xfId="0" builtinId="0"/>
  </cellStyles>
  <dxfs count="2">
    <dxf>
      <font>
        <color theme="9" tint="-0.24994659260841701"/>
      </font>
    </dxf>
    <dxf>
      <font>
        <color theme="5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4" sqref="A14"/>
    </sheetView>
  </sheetViews>
  <sheetFormatPr defaultRowHeight="15"/>
  <cols>
    <col min="1" max="1" width="9.140625" customWidth="1"/>
  </cols>
  <sheetData>
    <row r="1" spans="1:1">
      <c r="A1" s="1" t="s">
        <v>0</v>
      </c>
    </row>
    <row r="2" spans="1:1">
      <c r="A2" s="1" t="s">
        <v>6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s="1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topLeftCell="A37" workbookViewId="0">
      <selection activeCell="F59" sqref="F59"/>
    </sheetView>
  </sheetViews>
  <sheetFormatPr defaultRowHeight="15"/>
  <cols>
    <col min="1" max="1" width="21.42578125" customWidth="1"/>
    <col min="2" max="2" width="11.42578125" customWidth="1"/>
    <col min="5" max="5" width="12.85546875" customWidth="1"/>
  </cols>
  <sheetData>
    <row r="1" spans="1:16">
      <c r="A1" t="s">
        <v>12</v>
      </c>
      <c r="B1">
        <f xml:space="preserve"> D27-D21</f>
        <v>17</v>
      </c>
      <c r="C1" t="s">
        <v>46</v>
      </c>
      <c r="D1">
        <f xml:space="preserve"> B1*20*20</f>
        <v>6800</v>
      </c>
      <c r="P1" s="1"/>
    </row>
    <row r="2" spans="1:16">
      <c r="A2" t="s">
        <v>13</v>
      </c>
      <c r="B2" s="7">
        <v>0.4</v>
      </c>
      <c r="C2" s="7" t="s">
        <v>101</v>
      </c>
      <c r="K2" s="2"/>
    </row>
    <row r="3" spans="1:16">
      <c r="A3" t="s">
        <v>14</v>
      </c>
      <c r="B3" t="s">
        <v>58</v>
      </c>
      <c r="C3" t="s">
        <v>39</v>
      </c>
      <c r="D3">
        <f xml:space="preserve"> IF(B3="Wood",0,IF(B3="Superior Masonry",3000,0))</f>
        <v>3000</v>
      </c>
      <c r="K3" s="2"/>
    </row>
    <row r="4" spans="1:16">
      <c r="A4" t="s">
        <v>15</v>
      </c>
      <c r="B4" t="s">
        <v>40</v>
      </c>
      <c r="C4" t="s">
        <v>39</v>
      </c>
      <c r="D4">
        <f xml:space="preserve"> IF(B4="Wood",0,IF(B4="Superior Masonry",3000,0))</f>
        <v>0</v>
      </c>
    </row>
    <row r="5" spans="1:16">
      <c r="A5" t="s">
        <v>44</v>
      </c>
      <c r="B5" s="8">
        <v>0.15</v>
      </c>
      <c r="C5" s="9" t="s">
        <v>102</v>
      </c>
    </row>
    <row r="7" spans="1:16">
      <c r="A7" s="1" t="s">
        <v>70</v>
      </c>
    </row>
    <row r="8" spans="1:16">
      <c r="A8" t="s">
        <v>16</v>
      </c>
      <c r="B8" t="s">
        <v>17</v>
      </c>
      <c r="C8" t="s">
        <v>18</v>
      </c>
      <c r="D8" t="s">
        <v>26</v>
      </c>
      <c r="E8" t="s">
        <v>27</v>
      </c>
      <c r="G8" t="s">
        <v>32</v>
      </c>
    </row>
    <row r="9" spans="1:16" s="6" customFormat="1">
      <c r="A9" s="6" t="s">
        <v>19</v>
      </c>
      <c r="B9" s="6" t="s">
        <v>22</v>
      </c>
      <c r="C9" s="6">
        <f xml:space="preserve"> IF(B9="Basic",700,IF(B9="Fancy",4000,IF(B9="Luxury",20000/2,0)))</f>
        <v>4000</v>
      </c>
      <c r="D9" s="6">
        <v>4</v>
      </c>
      <c r="E9" s="6">
        <f xml:space="preserve"> C9*D9</f>
        <v>16000</v>
      </c>
      <c r="G9" s="6" t="s">
        <v>38</v>
      </c>
    </row>
    <row r="10" spans="1:16" s="6" customFormat="1">
      <c r="A10" s="6" t="s">
        <v>19</v>
      </c>
      <c r="B10" s="6" t="s">
        <v>21</v>
      </c>
      <c r="C10" s="6">
        <f xml:space="preserve"> IF(B10="Basic",700,IF(B10="Fancy",4000,IF(B10="Luxury",20000/2,0)))</f>
        <v>10000</v>
      </c>
      <c r="D10" s="6">
        <v>0</v>
      </c>
      <c r="E10" s="6">
        <f xml:space="preserve"> C10*D10</f>
        <v>0</v>
      </c>
    </row>
    <row r="11" spans="1:16" s="6" customFormat="1">
      <c r="A11" s="6" t="s">
        <v>54</v>
      </c>
      <c r="B11" s="6" t="s">
        <v>21</v>
      </c>
      <c r="C11" s="6">
        <f xml:space="preserve"> IF(B11="Basic",400/0.5,IF(B11="Fancy",2000,IF(B11="Luxury",10000/2,0)))</f>
        <v>5000</v>
      </c>
      <c r="D11" s="7">
        <v>2.2000000000000002</v>
      </c>
      <c r="E11" s="6">
        <f xml:space="preserve"> C11*D11</f>
        <v>11000</v>
      </c>
      <c r="G11" s="6" t="s">
        <v>56</v>
      </c>
    </row>
    <row r="12" spans="1:16" s="6" customFormat="1">
      <c r="A12" s="6" t="s">
        <v>55</v>
      </c>
      <c r="B12" s="6" t="s">
        <v>21</v>
      </c>
      <c r="C12" s="6">
        <f xml:space="preserve"> IF(B12="Luxury",10000,0)</f>
        <v>10000</v>
      </c>
      <c r="D12" s="6">
        <v>0</v>
      </c>
      <c r="E12" s="6">
        <f xml:space="preserve"> C12*D12</f>
        <v>0</v>
      </c>
      <c r="G12" s="6" t="s">
        <v>57</v>
      </c>
    </row>
    <row r="13" spans="1:16" s="6" customFormat="1">
      <c r="A13" s="6" t="s">
        <v>23</v>
      </c>
      <c r="B13" s="6" t="s">
        <v>21</v>
      </c>
      <c r="C13" s="6">
        <f xml:space="preserve"> IF(B13="Basic",800,IF(B13="Fancy",5000,IF(B13="Luxury",25000/2,0)))</f>
        <v>12500</v>
      </c>
      <c r="D13" s="6">
        <v>0</v>
      </c>
      <c r="E13" s="6">
        <f t="shared" ref="E13:E15" si="0" xml:space="preserve"> C13*D13</f>
        <v>0</v>
      </c>
      <c r="G13" s="6" t="s">
        <v>47</v>
      </c>
    </row>
    <row r="14" spans="1:16" s="6" customFormat="1">
      <c r="A14" s="6" t="s">
        <v>24</v>
      </c>
      <c r="B14" s="6" t="s">
        <v>21</v>
      </c>
      <c r="C14" s="6">
        <f xml:space="preserve"> IF(B14="Basic",2000/2,IF(B14="Fancy",12000/2,IF(B14="Luxury",50000/2,0)))</f>
        <v>25000</v>
      </c>
      <c r="D14" s="6">
        <v>0</v>
      </c>
      <c r="E14" s="6">
        <f t="shared" si="0"/>
        <v>0</v>
      </c>
    </row>
    <row r="15" spans="1:16" s="6" customFormat="1">
      <c r="A15" s="6" t="s">
        <v>25</v>
      </c>
      <c r="B15" s="6" t="s">
        <v>20</v>
      </c>
      <c r="C15" s="6">
        <f xml:space="preserve"> IF(B15="Basic",2000,IF(B15="Fancy",12000,IF(B15="Luxury",50000/2,0)))</f>
        <v>2000</v>
      </c>
      <c r="D15" s="6">
        <v>2.5</v>
      </c>
      <c r="E15" s="6">
        <f t="shared" si="0"/>
        <v>5000</v>
      </c>
      <c r="G15" s="6" t="s">
        <v>34</v>
      </c>
    </row>
    <row r="16" spans="1:16" s="6" customFormat="1">
      <c r="A16" s="6" t="s">
        <v>28</v>
      </c>
      <c r="B16" s="6" t="s">
        <v>22</v>
      </c>
      <c r="C16" s="6">
        <f xml:space="preserve"> IF(B16="Basic",200*2,IF(B16="Fancy",2500,IF(B16="Luxury",15000/1.5,0)))</f>
        <v>2500</v>
      </c>
      <c r="D16" s="6">
        <v>1</v>
      </c>
      <c r="E16" s="6">
        <f t="shared" ref="E16" si="1" xml:space="preserve"> C16*D16</f>
        <v>2500</v>
      </c>
    </row>
    <row r="17" spans="1:7" s="6" customFormat="1">
      <c r="A17" s="6" t="s">
        <v>29</v>
      </c>
      <c r="B17" s="6" t="s">
        <v>21</v>
      </c>
      <c r="C17" s="6">
        <f xml:space="preserve"> IF(B17="Basic",900,IF(B17="Fancy",4000,IF(B17="Luxury",20000,0)))</f>
        <v>20000</v>
      </c>
      <c r="D17" s="6">
        <v>1.6</v>
      </c>
      <c r="E17" s="6">
        <f t="shared" ref="E17" si="2" xml:space="preserve"> C17*D17</f>
        <v>32000</v>
      </c>
      <c r="G17" s="6" t="s">
        <v>98</v>
      </c>
    </row>
    <row r="18" spans="1:7" s="6" customFormat="1">
      <c r="A18" s="6" t="s">
        <v>30</v>
      </c>
      <c r="B18" s="6" t="s">
        <v>20</v>
      </c>
      <c r="C18" s="6">
        <f xml:space="preserve"> IF(B18="Basic",2000,0)</f>
        <v>2000</v>
      </c>
      <c r="D18" s="6">
        <v>2</v>
      </c>
      <c r="E18" s="6">
        <f t="shared" ref="E18:E19" si="3" xml:space="preserve"> C18*D18</f>
        <v>4000</v>
      </c>
      <c r="G18" s="6" t="s">
        <v>97</v>
      </c>
    </row>
    <row r="19" spans="1:7" s="6" customFormat="1">
      <c r="A19" s="6" t="s">
        <v>31</v>
      </c>
      <c r="B19" s="6" t="s">
        <v>21</v>
      </c>
      <c r="C19" s="6">
        <f xml:space="preserve"> IF(B19="Fancy",2000,IF(B19="Luxury",10000,0))</f>
        <v>10000</v>
      </c>
      <c r="D19" s="6">
        <v>2.2000000000000002</v>
      </c>
      <c r="E19" s="6">
        <f t="shared" si="3"/>
        <v>22000</v>
      </c>
      <c r="G19" s="6" t="s">
        <v>33</v>
      </c>
    </row>
    <row r="20" spans="1:7" s="6" customFormat="1">
      <c r="A20" s="6" t="s">
        <v>35</v>
      </c>
      <c r="B20" s="6" t="s">
        <v>22</v>
      </c>
      <c r="C20" s="6">
        <f xml:space="preserve"> IF(B20="Basic",500,IF(B20="Fancy",3000,0))</f>
        <v>3000</v>
      </c>
      <c r="D20" s="6">
        <v>1.5</v>
      </c>
      <c r="E20" s="6">
        <f t="shared" ref="E20:E23" si="4" xml:space="preserve"> C20*D20</f>
        <v>4500</v>
      </c>
      <c r="G20" s="6" t="s">
        <v>36</v>
      </c>
    </row>
    <row r="21" spans="1:7" s="6" customFormat="1">
      <c r="A21" s="6" t="s">
        <v>37</v>
      </c>
      <c r="B21" s="6" t="s">
        <v>22</v>
      </c>
      <c r="C21" s="6">
        <f xml:space="preserve"> IF(B21="Basic",500,IF(B21="Fancy",3000,IF(B21="Luxury",15000,0)))</f>
        <v>3000</v>
      </c>
      <c r="D21" s="6">
        <v>0</v>
      </c>
      <c r="E21" s="6">
        <f t="shared" si="4"/>
        <v>0</v>
      </c>
      <c r="G21" s="6" t="s">
        <v>106</v>
      </c>
    </row>
    <row r="22" spans="1:7" s="6" customFormat="1">
      <c r="A22" s="6" t="s">
        <v>37</v>
      </c>
      <c r="B22" s="6" t="s">
        <v>21</v>
      </c>
      <c r="C22" s="6">
        <f xml:space="preserve"> IF(B22="Basic",500,IF(B22="Fancy",3000,IF(B22="Luxury",15000,0)))</f>
        <v>15000</v>
      </c>
      <c r="D22" s="6">
        <v>0</v>
      </c>
      <c r="E22" s="6">
        <f t="shared" ref="E22" si="5" xml:space="preserve"> C22*D22</f>
        <v>0</v>
      </c>
      <c r="G22" s="6" t="s">
        <v>103</v>
      </c>
    </row>
    <row r="23" spans="1:7" s="6" customFormat="1">
      <c r="A23" s="6" t="s">
        <v>45</v>
      </c>
      <c r="B23" s="6" t="s">
        <v>22</v>
      </c>
      <c r="C23" s="6">
        <f xml:space="preserve"> IF(B23="Basic",250,IF(B23="Fancy",1000,IF(B23="Luxury",3000,0)))</f>
        <v>1000</v>
      </c>
      <c r="D23" s="6">
        <v>0</v>
      </c>
      <c r="E23" s="6">
        <f t="shared" si="4"/>
        <v>0</v>
      </c>
    </row>
    <row r="25" spans="1:7">
      <c r="A25" t="s">
        <v>69</v>
      </c>
      <c r="C25">
        <v>760</v>
      </c>
      <c r="D25">
        <f>ROUND((6/22)*5,2)</f>
        <v>1.36</v>
      </c>
      <c r="E25">
        <f t="shared" ref="E25" si="6" xml:space="preserve"> C25*D25</f>
        <v>1033.6000000000001</v>
      </c>
      <c r="G25" t="s">
        <v>96</v>
      </c>
    </row>
    <row r="27" spans="1:7">
      <c r="A27" s="11" t="s">
        <v>42</v>
      </c>
      <c r="B27" s="11"/>
      <c r="C27" s="11"/>
      <c r="D27" s="11">
        <f xml:space="preserve"> SUM(D9:D24)</f>
        <v>17</v>
      </c>
      <c r="E27" s="11">
        <f xml:space="preserve"> SUM(E9:E26)</f>
        <v>98033.600000000006</v>
      </c>
    </row>
    <row r="28" spans="1:7">
      <c r="A28" s="11"/>
      <c r="B28" s="11"/>
      <c r="C28" s="11"/>
      <c r="D28" s="11"/>
      <c r="E28" s="11"/>
    </row>
    <row r="29" spans="1:7">
      <c r="A29" s="11" t="s">
        <v>41</v>
      </c>
      <c r="B29" s="11"/>
      <c r="C29" s="11"/>
      <c r="D29" s="11"/>
      <c r="E29" s="11">
        <f xml:space="preserve"> B2*B1*D3 + (1-B2)*B1*D4</f>
        <v>20400.000000000004</v>
      </c>
    </row>
    <row r="31" spans="1:7">
      <c r="A31" s="10" t="s">
        <v>91</v>
      </c>
      <c r="B31" s="10"/>
      <c r="C31" s="10"/>
      <c r="D31" s="10"/>
      <c r="E31" s="10">
        <f xml:space="preserve"> (E27+E29)*(1+B5)</f>
        <v>136198.63999999998</v>
      </c>
    </row>
    <row r="33" spans="1:14">
      <c r="A33" s="1" t="s">
        <v>71</v>
      </c>
      <c r="N33" s="1" t="s">
        <v>87</v>
      </c>
    </row>
    <row r="34" spans="1:14">
      <c r="A34" t="s">
        <v>72</v>
      </c>
      <c r="B34" t="s">
        <v>20</v>
      </c>
      <c r="C34">
        <f xml:space="preserve"> IF(B34="Basic",400,0)</f>
        <v>400</v>
      </c>
      <c r="D34">
        <v>3</v>
      </c>
      <c r="E34" t="s">
        <v>86</v>
      </c>
      <c r="F34">
        <f xml:space="preserve"> C34*D34 + IF(E34="B2", D34*400,0) + IF(E34="B3", D34*1000,0)</f>
        <v>1200</v>
      </c>
      <c r="H34" t="s">
        <v>73</v>
      </c>
      <c r="N34" t="s">
        <v>78</v>
      </c>
    </row>
    <row r="35" spans="1:14">
      <c r="A35" t="s">
        <v>19</v>
      </c>
      <c r="B35" t="s">
        <v>20</v>
      </c>
      <c r="C35">
        <f xml:space="preserve"> IF(B35="Basic",700,IF(B35="Fancy",4000,IF(B35="Luxury",20000/2,0)))</f>
        <v>700</v>
      </c>
      <c r="D35">
        <v>2</v>
      </c>
      <c r="E35" t="s">
        <v>86</v>
      </c>
      <c r="F35">
        <f t="shared" ref="F35:F48" si="7" xml:space="preserve"> C35*D35 + IF(E35="B2", D35*400,0) + IF(E35="B3", D35*1000,0)</f>
        <v>1400</v>
      </c>
      <c r="H35" t="s">
        <v>74</v>
      </c>
      <c r="N35" t="s">
        <v>79</v>
      </c>
    </row>
    <row r="36" spans="1:14">
      <c r="A36" t="s">
        <v>19</v>
      </c>
      <c r="B36" t="s">
        <v>20</v>
      </c>
      <c r="C36">
        <f xml:space="preserve"> IF(B36="Basic",700,IF(B36="Fancy",4000,IF(B36="Luxury",20000/2,0)))</f>
        <v>700</v>
      </c>
      <c r="D36">
        <v>0</v>
      </c>
      <c r="E36" t="s">
        <v>94</v>
      </c>
      <c r="F36">
        <f t="shared" si="7"/>
        <v>0</v>
      </c>
      <c r="N36" t="s">
        <v>88</v>
      </c>
    </row>
    <row r="37" spans="1:14" s="5" customFormat="1">
      <c r="A37" s="5" t="s">
        <v>54</v>
      </c>
      <c r="B37" s="5" t="s">
        <v>20</v>
      </c>
      <c r="C37" s="5">
        <f xml:space="preserve"> IF(B37="Basic",400/0.5,IF(B37="Fancy",2000,IF(B37="Luxury",10000/2,0)))</f>
        <v>800</v>
      </c>
      <c r="D37" s="5">
        <v>1</v>
      </c>
      <c r="E37" s="5" t="s">
        <v>86</v>
      </c>
      <c r="F37" s="5">
        <f t="shared" si="7"/>
        <v>800</v>
      </c>
      <c r="H37" s="5" t="s">
        <v>99</v>
      </c>
      <c r="N37" s="5" t="s">
        <v>80</v>
      </c>
    </row>
    <row r="38" spans="1:14">
      <c r="A38" t="s">
        <v>54</v>
      </c>
      <c r="B38" t="s">
        <v>20</v>
      </c>
      <c r="C38">
        <f xml:space="preserve"> IF(B38="Basic",400/0.5,IF(B38="Fancy",2000,IF(B38="Luxury",10000/2,0)))</f>
        <v>800</v>
      </c>
      <c r="D38">
        <v>0</v>
      </c>
      <c r="E38" t="s">
        <v>94</v>
      </c>
      <c r="F38">
        <f t="shared" si="7"/>
        <v>0</v>
      </c>
      <c r="N38" t="s">
        <v>82</v>
      </c>
    </row>
    <row r="39" spans="1:14">
      <c r="A39" t="s">
        <v>23</v>
      </c>
      <c r="B39" t="s">
        <v>20</v>
      </c>
      <c r="C39">
        <f xml:space="preserve"> IF(B39="Basic",800,IF(B39="Fancy",5000,IF(B39="Luxury",25000/2,0)))</f>
        <v>800</v>
      </c>
      <c r="D39">
        <v>0</v>
      </c>
      <c r="E39" t="s">
        <v>94</v>
      </c>
      <c r="F39">
        <f t="shared" si="7"/>
        <v>0</v>
      </c>
      <c r="N39" t="s">
        <v>81</v>
      </c>
    </row>
    <row r="40" spans="1:14">
      <c r="A40" t="s">
        <v>24</v>
      </c>
      <c r="B40" t="s">
        <v>20</v>
      </c>
      <c r="C40">
        <f xml:space="preserve"> IF(B40="Basic",2000/2,IF(B40="Fancy",12000/2,IF(B40="Luxury",50000/2,0)))</f>
        <v>1000</v>
      </c>
      <c r="D40">
        <v>2</v>
      </c>
      <c r="E40" t="s">
        <v>86</v>
      </c>
      <c r="F40">
        <f t="shared" si="7"/>
        <v>2000</v>
      </c>
      <c r="H40" t="s">
        <v>83</v>
      </c>
      <c r="N40" t="s">
        <v>100</v>
      </c>
    </row>
    <row r="41" spans="1:14">
      <c r="A41" t="s">
        <v>24</v>
      </c>
      <c r="B41" t="s">
        <v>20</v>
      </c>
      <c r="C41">
        <f xml:space="preserve"> IF(B41="Basic",2000/2,IF(B41="Fancy",12000/2,IF(B41="Luxury",50000/2,0)))</f>
        <v>1000</v>
      </c>
      <c r="D41">
        <v>0</v>
      </c>
      <c r="E41" t="s">
        <v>94</v>
      </c>
      <c r="F41">
        <f t="shared" si="7"/>
        <v>0</v>
      </c>
      <c r="N41" t="s">
        <v>93</v>
      </c>
    </row>
    <row r="42" spans="1:14">
      <c r="A42" t="s">
        <v>25</v>
      </c>
      <c r="B42" t="s">
        <v>20</v>
      </c>
      <c r="C42">
        <f xml:space="preserve"> IF(B42="Basic",2000,IF(B42="Fancy",12000,IF(B42="Luxury",50000/2,0)))</f>
        <v>2000</v>
      </c>
      <c r="D42">
        <v>2</v>
      </c>
      <c r="E42" t="s">
        <v>86</v>
      </c>
      <c r="F42">
        <f t="shared" si="7"/>
        <v>4000</v>
      </c>
      <c r="H42" t="s">
        <v>85</v>
      </c>
      <c r="N42" t="s">
        <v>84</v>
      </c>
    </row>
    <row r="43" spans="1:14">
      <c r="A43" t="s">
        <v>25</v>
      </c>
      <c r="B43" t="s">
        <v>20</v>
      </c>
      <c r="C43">
        <f xml:space="preserve"> IF(B43="Basic",2000,IF(B43="Fancy",12000,IF(B43="Luxury",50000/2,0)))</f>
        <v>2000</v>
      </c>
      <c r="D43">
        <v>0</v>
      </c>
      <c r="E43" t="s">
        <v>94</v>
      </c>
      <c r="F43">
        <f t="shared" si="7"/>
        <v>0</v>
      </c>
      <c r="N43" t="s">
        <v>93</v>
      </c>
    </row>
    <row r="44" spans="1:14">
      <c r="A44" t="s">
        <v>28</v>
      </c>
      <c r="B44" t="s">
        <v>20</v>
      </c>
      <c r="C44">
        <f xml:space="preserve"> IF(B44="Basic",200*2,IF(B44="Fancy",2500,IF(B44="Luxury",15000/1.5,0)))</f>
        <v>400</v>
      </c>
      <c r="D44">
        <v>0</v>
      </c>
      <c r="E44" t="s">
        <v>94</v>
      </c>
      <c r="F44">
        <f t="shared" si="7"/>
        <v>0</v>
      </c>
      <c r="N44" t="s">
        <v>82</v>
      </c>
    </row>
    <row r="45" spans="1:14">
      <c r="A45" t="s">
        <v>75</v>
      </c>
      <c r="B45" t="s">
        <v>20</v>
      </c>
      <c r="C45">
        <f xml:space="preserve"> IF(B45="Basic",1000,0)</f>
        <v>1000</v>
      </c>
      <c r="D45">
        <v>0</v>
      </c>
      <c r="E45" t="s">
        <v>94</v>
      </c>
      <c r="F45">
        <f t="shared" si="7"/>
        <v>0</v>
      </c>
    </row>
    <row r="46" spans="1:14">
      <c r="A46" t="s">
        <v>30</v>
      </c>
      <c r="B46" t="s">
        <v>20</v>
      </c>
      <c r="C46">
        <f xml:space="preserve"> IF(B46="Basic",2000,0)</f>
        <v>2000</v>
      </c>
      <c r="D46">
        <v>0</v>
      </c>
      <c r="E46" t="s">
        <v>94</v>
      </c>
      <c r="F46">
        <f t="shared" si="7"/>
        <v>0</v>
      </c>
    </row>
    <row r="47" spans="1:14">
      <c r="A47" t="s">
        <v>45</v>
      </c>
      <c r="B47" t="s">
        <v>20</v>
      </c>
      <c r="C47">
        <f xml:space="preserve"> IF(B47="Basic",250,IF(B47="Fancy",1000,IF(B47="Luxury",3000,0)))</f>
        <v>250</v>
      </c>
      <c r="D47">
        <v>0</v>
      </c>
      <c r="E47" t="s">
        <v>86</v>
      </c>
      <c r="F47">
        <f t="shared" si="7"/>
        <v>0</v>
      </c>
    </row>
    <row r="48" spans="1:14">
      <c r="A48" t="s">
        <v>76</v>
      </c>
      <c r="C48" s="2">
        <f>10500/13</f>
        <v>807.69230769230774</v>
      </c>
      <c r="D48">
        <v>0</v>
      </c>
      <c r="E48" t="s">
        <v>94</v>
      </c>
      <c r="F48">
        <f t="shared" si="7"/>
        <v>0</v>
      </c>
      <c r="H48" t="s">
        <v>77</v>
      </c>
    </row>
    <row r="50" spans="1:8">
      <c r="A50" t="s">
        <v>42</v>
      </c>
      <c r="C50" t="s">
        <v>89</v>
      </c>
      <c r="D50">
        <f xml:space="preserve"> SUMIF(E34:E49,"B1",D34:D49)</f>
        <v>10</v>
      </c>
      <c r="F50">
        <f>SUMIF(E34:E49,"B1",F34:F49)</f>
        <v>9400</v>
      </c>
    </row>
    <row r="51" spans="1:8">
      <c r="C51" t="s">
        <v>90</v>
      </c>
      <c r="D51">
        <f xml:space="preserve"> SUMIF(E34:E49,"B2",D34:D49)</f>
        <v>0</v>
      </c>
      <c r="F51">
        <f>SUMIF(E34:E49,"B2",F34:F49)</f>
        <v>0</v>
      </c>
    </row>
    <row r="52" spans="1:8">
      <c r="C52" t="s">
        <v>95</v>
      </c>
      <c r="D52">
        <f xml:space="preserve"> SUMIF(E34:E49,"B3",D34:D49)</f>
        <v>0</v>
      </c>
      <c r="F52">
        <f>SUMIF(E34:E49,"B3",F34:F49)</f>
        <v>0</v>
      </c>
    </row>
    <row r="54" spans="1:8">
      <c r="A54" s="10" t="s">
        <v>92</v>
      </c>
      <c r="B54" s="10"/>
      <c r="C54" s="10"/>
      <c r="D54" s="10"/>
      <c r="E54" s="10"/>
      <c r="F54" s="10">
        <f>(F50+F51+F52)*(1+0.1+B5)</f>
        <v>11750</v>
      </c>
    </row>
    <row r="56" spans="1:8">
      <c r="A56" s="10" t="s">
        <v>107</v>
      </c>
      <c r="B56" s="10"/>
      <c r="C56" s="10"/>
      <c r="D56" s="10"/>
      <c r="E56" s="10"/>
      <c r="F56" s="10">
        <v>0</v>
      </c>
      <c r="H56" t="s">
        <v>108</v>
      </c>
    </row>
    <row r="58" spans="1:8">
      <c r="A58" s="12" t="s">
        <v>43</v>
      </c>
      <c r="B58" s="12"/>
      <c r="C58" s="12"/>
      <c r="D58" s="12"/>
      <c r="E58" s="12"/>
      <c r="F58" s="12">
        <f xml:space="preserve"> E31+F54+F56+'Outside walls'!B9</f>
        <v>147948.63999999998</v>
      </c>
      <c r="H58" t="s">
        <v>105</v>
      </c>
    </row>
  </sheetData>
  <conditionalFormatting sqref="A34:F49">
    <cfRule type="expression" dxfId="1" priority="1">
      <formula>$E34="B3"</formula>
    </cfRule>
    <cfRule type="expression" dxfId="0" priority="2">
      <formula>$E34="B2"</formula>
    </cfRule>
  </conditionalFormatting>
  <dataValidations count="7">
    <dataValidation type="list" allowBlank="1" showInputMessage="1" showErrorMessage="1" sqref="B13:B17 B9:B11 B35:B44 B47 B21:B24">
      <formula1>"Basic,Fancy,Luxury"</formula1>
    </dataValidation>
    <dataValidation type="list" allowBlank="1" showInputMessage="1" showErrorMessage="1" sqref="B18 B34 B45:B46">
      <formula1>"Basic"</formula1>
    </dataValidation>
    <dataValidation type="list" allowBlank="1" showInputMessage="1" showErrorMessage="1" sqref="B19">
      <formula1>"Fancy,Luxury"</formula1>
    </dataValidation>
    <dataValidation type="list" allowBlank="1" showInputMessage="1" showErrorMessage="1" sqref="B20">
      <formula1>"Basic,Fancy"</formula1>
    </dataValidation>
    <dataValidation type="list" allowBlank="1" showInputMessage="1" showErrorMessage="1" sqref="B3:B4">
      <formula1>"Wood,Superior Masonry"</formula1>
    </dataValidation>
    <dataValidation type="list" allowBlank="1" showInputMessage="1" showErrorMessage="1" sqref="B12">
      <formula1>"Luxury"</formula1>
    </dataValidation>
    <dataValidation type="list" allowBlank="1" showInputMessage="1" showErrorMessage="1" sqref="E34:E48">
      <formula1>"B1,B2,B3"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16" sqref="D16"/>
    </sheetView>
  </sheetViews>
  <sheetFormatPr defaultRowHeight="15"/>
  <sheetData>
    <row r="1" spans="1:5">
      <c r="A1" t="s">
        <v>48</v>
      </c>
      <c r="B1">
        <v>190</v>
      </c>
    </row>
    <row r="2" spans="1:5">
      <c r="A2" t="s">
        <v>49</v>
      </c>
      <c r="B2">
        <v>160</v>
      </c>
    </row>
    <row r="4" spans="1:5">
      <c r="A4" t="s">
        <v>50</v>
      </c>
      <c r="B4">
        <f xml:space="preserve"> 2*B1+2*B2</f>
        <v>700</v>
      </c>
    </row>
    <row r="5" spans="1:5">
      <c r="A5" t="s">
        <v>63</v>
      </c>
      <c r="B5" s="2">
        <f xml:space="preserve"> B1*B2/400</f>
        <v>76</v>
      </c>
      <c r="D5" t="s">
        <v>46</v>
      </c>
      <c r="E5">
        <f xml:space="preserve"> B5*400</f>
        <v>30400</v>
      </c>
    </row>
    <row r="6" spans="1:5">
      <c r="A6" t="s">
        <v>51</v>
      </c>
      <c r="B6">
        <f xml:space="preserve"> ROUNDUP(B4/10,0)</f>
        <v>70</v>
      </c>
    </row>
    <row r="8" spans="1:5">
      <c r="A8" t="s">
        <v>52</v>
      </c>
      <c r="B8" s="7">
        <v>0</v>
      </c>
      <c r="C8" s="7"/>
      <c r="D8" s="7" t="s">
        <v>104</v>
      </c>
    </row>
    <row r="9" spans="1:5">
      <c r="A9" t="s">
        <v>53</v>
      </c>
      <c r="B9">
        <f xml:space="preserve"> B6*B8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4" sqref="C4"/>
    </sheetView>
  </sheetViews>
  <sheetFormatPr defaultRowHeight="15"/>
  <cols>
    <col min="1" max="1" width="17.140625" style="3" customWidth="1"/>
    <col min="2" max="2" width="71.42578125" style="4" customWidth="1"/>
    <col min="3" max="3" width="57.140625" style="3" customWidth="1"/>
    <col min="4" max="16384" width="9.140625" style="3"/>
  </cols>
  <sheetData>
    <row r="1" spans="1:3">
      <c r="A1" s="3" t="s">
        <v>59</v>
      </c>
      <c r="B1" s="4" t="s">
        <v>60</v>
      </c>
      <c r="C1" s="3" t="s">
        <v>61</v>
      </c>
    </row>
    <row r="2" spans="1:3">
      <c r="A2" s="3" t="s">
        <v>62</v>
      </c>
      <c r="B2" s="4" t="s">
        <v>64</v>
      </c>
      <c r="C2" s="3" t="s">
        <v>65</v>
      </c>
    </row>
    <row r="3" spans="1:3" ht="90">
      <c r="A3" s="3" t="s">
        <v>66</v>
      </c>
      <c r="B3" s="4" t="s">
        <v>67</v>
      </c>
      <c r="C3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Calculator</vt:lpstr>
      <vt:lpstr>Outside walls</vt:lpstr>
      <vt:lpstr>Stronghold Description &amp; Spaces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2012-09-23T16:23:18Z</dcterms:modified>
</cp:coreProperties>
</file>